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ll\OneDrive\Escritorio\2025-2\Departamento\papime\excel\"/>
    </mc:Choice>
  </mc:AlternateContent>
  <xr:revisionPtr revIDLastSave="0" documentId="8_{CC26B41E-F564-4E5D-93D7-09F826F537B7}" xr6:coauthVersionLast="47" xr6:coauthVersionMax="47" xr10:uidLastSave="{00000000-0000-0000-0000-000000000000}"/>
  <bookViews>
    <workbookView xWindow="-120" yWindow="-120" windowWidth="29040" windowHeight="15720" xr2:uid="{AF7D0830-A065-4542-9B99-EB2C8BB17A4F}"/>
  </bookViews>
  <sheets>
    <sheet name="Instrucciones" sheetId="4" r:id="rId1"/>
    <sheet name="DTU" sheetId="1" r:id="rId2"/>
    <sheet name="DI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3" l="1"/>
  <c r="C4" i="1"/>
  <c r="A18" i="3" l="1"/>
  <c r="A17" i="3"/>
  <c r="A16" i="3"/>
  <c r="A15" i="3"/>
  <c r="A14" i="3"/>
  <c r="E14" i="3" s="1"/>
  <c r="F14" i="3" s="1"/>
  <c r="A13" i="3"/>
  <c r="A12" i="3"/>
  <c r="F12" i="3" s="1"/>
  <c r="A17" i="1"/>
  <c r="F17" i="1" s="1"/>
  <c r="A16" i="1"/>
  <c r="F16" i="1" s="1"/>
  <c r="A15" i="1"/>
  <c r="F15" i="1" s="1"/>
  <c r="A14" i="1"/>
  <c r="F14" i="1" s="1"/>
  <c r="A13" i="1"/>
  <c r="E13" i="1" s="1"/>
  <c r="F13" i="1" s="1"/>
  <c r="H13" i="1" s="1"/>
  <c r="A12" i="1"/>
  <c r="E12" i="1" s="1"/>
  <c r="F12" i="1" s="1"/>
  <c r="H12" i="1" s="1"/>
  <c r="A11" i="1"/>
  <c r="E11" i="1" s="1"/>
  <c r="F11" i="1" s="1"/>
  <c r="H11" i="1" s="1"/>
  <c r="E15" i="3" l="1"/>
  <c r="F15" i="3"/>
  <c r="G15" i="3"/>
  <c r="I15" i="3"/>
  <c r="E16" i="3"/>
  <c r="I16" i="3"/>
  <c r="G16" i="3"/>
  <c r="F16" i="3"/>
  <c r="F17" i="3"/>
  <c r="G17" i="3"/>
  <c r="I17" i="3"/>
  <c r="H18" i="3"/>
  <c r="F18" i="3"/>
  <c r="I18" i="3"/>
  <c r="G18" i="3"/>
  <c r="G12" i="3"/>
  <c r="H12" i="3" s="1"/>
  <c r="I12" i="3"/>
  <c r="G14" i="3"/>
  <c r="H14" i="3" s="1"/>
  <c r="I14" i="3"/>
  <c r="J17" i="3"/>
  <c r="J18" i="3"/>
  <c r="J15" i="3"/>
  <c r="E13" i="3"/>
  <c r="F13" i="3" s="1"/>
  <c r="K17" i="3"/>
  <c r="K18" i="3"/>
  <c r="H15" i="3"/>
  <c r="E18" i="3"/>
  <c r="E17" i="3"/>
  <c r="H17" i="3"/>
  <c r="J16" i="1"/>
  <c r="G16" i="1"/>
  <c r="H16" i="1"/>
  <c r="I16" i="1"/>
  <c r="E16" i="1"/>
  <c r="J14" i="1"/>
  <c r="G14" i="1"/>
  <c r="E14" i="1"/>
  <c r="I14" i="1"/>
  <c r="H14" i="1"/>
  <c r="H15" i="1"/>
  <c r="J15" i="1"/>
  <c r="G15" i="1"/>
  <c r="E15" i="1"/>
  <c r="I15" i="1"/>
  <c r="J17" i="1"/>
  <c r="G17" i="1"/>
  <c r="I17" i="1"/>
  <c r="E17" i="1"/>
  <c r="H17" i="1"/>
  <c r="J16" i="3"/>
  <c r="H16" i="3"/>
  <c r="K16" i="3" s="1"/>
  <c r="I13" i="1"/>
  <c r="I11" i="1"/>
  <c r="G13" i="1"/>
  <c r="G11" i="1"/>
  <c r="G12" i="1"/>
  <c r="I12" i="1"/>
  <c r="J14" i="3" l="1"/>
  <c r="K14" i="3" s="1"/>
  <c r="I13" i="3"/>
  <c r="G13" i="3"/>
  <c r="K15" i="3"/>
  <c r="J12" i="3"/>
  <c r="J13" i="1"/>
  <c r="J11" i="1"/>
  <c r="J12" i="1"/>
  <c r="K12" i="3" l="1"/>
  <c r="J13" i="3"/>
  <c r="H13" i="3"/>
  <c r="C21" i="1"/>
  <c r="C20" i="1" s="1"/>
  <c r="C22" i="1" s="1"/>
  <c r="K13" i="3" l="1"/>
  <c r="C22" i="3" s="1"/>
  <c r="C21" i="3" s="1"/>
  <c r="C23" i="3" s="1"/>
</calcChain>
</file>

<file path=xl/sharedStrings.xml><?xml version="1.0" encoding="utf-8"?>
<sst xmlns="http://schemas.openxmlformats.org/spreadsheetml/2006/main" count="52" uniqueCount="28">
  <si>
    <t>Demanda</t>
  </si>
  <si>
    <t>Costo de ordenar</t>
  </si>
  <si>
    <t>Número de intervalos de descuento</t>
  </si>
  <si>
    <t>(unidades /año)</t>
  </si>
  <si>
    <t>$ por orden</t>
  </si>
  <si>
    <t>%</t>
  </si>
  <si>
    <t>Datos</t>
  </si>
  <si>
    <t>Intervalo</t>
  </si>
  <si>
    <t>costo unitario</t>
  </si>
  <si>
    <t>Rango de cantidades a ordenar</t>
  </si>
  <si>
    <t>EOQ</t>
  </si>
  <si>
    <t>Q*</t>
  </si>
  <si>
    <t>Tasa de mantener</t>
  </si>
  <si>
    <t>Número esperado de ordenes</t>
  </si>
  <si>
    <t>Cantidad óptima a ordenar</t>
  </si>
  <si>
    <t>Costo total variable</t>
  </si>
  <si>
    <t>Resultados</t>
  </si>
  <si>
    <t>C'(Q)/Q</t>
  </si>
  <si>
    <t>Costo anual de compra</t>
  </si>
  <si>
    <t>Costo anual de ordenar</t>
  </si>
  <si>
    <t>Costo anual de mantener</t>
  </si>
  <si>
    <t>Costo unitario</t>
  </si>
  <si>
    <t>Valor</t>
  </si>
  <si>
    <t xml:space="preserve">Unidades </t>
  </si>
  <si>
    <t>Descuento por cantidad en todas la unidades</t>
  </si>
  <si>
    <t>Descuento por cantidad incremental</t>
  </si>
  <si>
    <t>Límite inferior</t>
  </si>
  <si>
    <t>Límite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</si>
</sst>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0" fillId="3" borderId="9" xfId="0" applyFill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3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4" borderId="9" xfId="0" applyFill="1" applyBorder="1"/>
    <xf numFmtId="44" fontId="0" fillId="4" borderId="9" xfId="1" applyFont="1" applyFill="1" applyBorder="1"/>
    <xf numFmtId="44" fontId="0" fillId="4" borderId="11" xfId="1" applyFont="1" applyFill="1" applyBorder="1"/>
    <xf numFmtId="0" fontId="0" fillId="4" borderId="13" xfId="0" applyFill="1" applyBorder="1"/>
    <xf numFmtId="44" fontId="0" fillId="4" borderId="13" xfId="1" applyFont="1" applyFill="1" applyBorder="1"/>
    <xf numFmtId="44" fontId="0" fillId="4" borderId="14" xfId="1" applyFont="1" applyFill="1" applyBorder="1"/>
    <xf numFmtId="0" fontId="0" fillId="0" borderId="10" xfId="0" applyBorder="1" applyAlignment="1">
      <alignment horizontal="left" wrapText="1"/>
    </xf>
    <xf numFmtId="0" fontId="0" fillId="4" borderId="11" xfId="0" applyFill="1" applyBorder="1"/>
    <xf numFmtId="0" fontId="0" fillId="0" borderId="12" xfId="0" applyBorder="1" applyAlignment="1">
      <alignment horizontal="left" wrapText="1"/>
    </xf>
    <xf numFmtId="0" fontId="0" fillId="4" borderId="14" xfId="0" applyFill="1" applyBorder="1"/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123825</xdr:rowOff>
    </xdr:from>
    <xdr:to>
      <xdr:col>7</xdr:col>
      <xdr:colOff>428625</xdr:colOff>
      <xdr:row>16</xdr:row>
      <xdr:rowOff>76200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DAB711B-793B-4DDC-8157-BC419D3D7E92}"/>
            </a:ext>
          </a:extLst>
        </xdr:cNvPr>
        <xdr:cNvSpPr txBox="1"/>
      </xdr:nvSpPr>
      <xdr:spPr>
        <a:xfrm>
          <a:off x="171450" y="123825"/>
          <a:ext cx="5591175" cy="3000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 plantilla fue desarrollada, gracias al apoyo PAPIME PE110023 Recursos didácticos para la impartición del laboratorio de Planeación y control de la producción. Apoyado por DGAPA-UNAM</a:t>
          </a:r>
        </a:p>
        <a:p>
          <a:endParaRPr lang="es-E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recomienda seguir los siguientes pasos para su uso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228600" lvl="0" indent="-228600">
            <a:buFont typeface="+mj-lt"/>
            <a:buAutoNum type="arabicPeriod"/>
          </a:pP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Ingresar los datos a evaluar en la hoja en las hojas en la parte sombreada en verde. 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228600" lvl="0" indent="-228600">
            <a:buFont typeface="+mj-lt"/>
            <a:buAutoNum type="arabicPeriod"/>
          </a:pP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Las hojas permiten visualizar el cálculo de los métodos de pronóstico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DTU,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muestra el cálculo de la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cantidad óptima a ordenar en un </a:t>
          </a:r>
          <a:r>
            <a:rPr lang="es-E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análisis de 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Descuento por cantidad en Todas la Unidades  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cada intervalo de descuento y se muestra la opción recomendada de adquirir con descuento. </a:t>
          </a: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DI,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muestra el cálculo de la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cantidad óptima a ordenaren un análisis de 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Descuento por cantidad  Incremental  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cada intervalo de descuento y se muestra la opción recomendada de adquirir con descuento. </a:t>
          </a:r>
          <a:endParaRPr lang="es-MX" sz="1100">
            <a:effectLst/>
          </a:endParaRPr>
        </a:p>
        <a:p>
          <a:pPr marL="171450" lvl="0" indent="-171450">
            <a:buFont typeface="Arial" panose="020B0604020202020204" pitchFamily="34" charset="0"/>
            <a:buChar char="•"/>
          </a:pP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F8B48-B774-45C9-9FA2-0FD13AEFF5D6}">
  <dimension ref="A1"/>
  <sheetViews>
    <sheetView tabSelected="1" workbookViewId="0">
      <selection activeCell="L9" sqref="L9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48FB5-58C7-40FB-B82C-B7FB792C7949}">
  <dimension ref="A1:J22"/>
  <sheetViews>
    <sheetView zoomScaleNormal="100" workbookViewId="0">
      <selection activeCell="F28" sqref="F28"/>
    </sheetView>
  </sheetViews>
  <sheetFormatPr baseColWidth="10" defaultRowHeight="15" x14ac:dyDescent="0.25"/>
  <cols>
    <col min="1" max="1" width="5.85546875" bestFit="1" customWidth="1"/>
    <col min="2" max="2" width="37.28515625" bestFit="1" customWidth="1"/>
    <col min="3" max="3" width="13.28515625" bestFit="1" customWidth="1"/>
    <col min="4" max="4" width="13" bestFit="1" customWidth="1"/>
    <col min="5" max="6" width="14.7109375" bestFit="1" customWidth="1"/>
    <col min="7" max="9" width="16.85546875" bestFit="1" customWidth="1"/>
    <col min="10" max="10" width="16.140625" bestFit="1" customWidth="1"/>
  </cols>
  <sheetData>
    <row r="1" spans="1:10" ht="23.25" x14ac:dyDescent="0.35">
      <c r="A1" s="25" t="s">
        <v>24</v>
      </c>
      <c r="B1" s="26"/>
      <c r="C1" s="26"/>
      <c r="D1" s="26"/>
      <c r="E1" s="26"/>
      <c r="F1" s="26"/>
    </row>
    <row r="2" spans="1:10" ht="16.5" thickBot="1" x14ac:dyDescent="0.3">
      <c r="A2" s="1"/>
    </row>
    <row r="3" spans="1:10" x14ac:dyDescent="0.25">
      <c r="B3" s="2" t="s">
        <v>6</v>
      </c>
      <c r="C3" s="3" t="s">
        <v>22</v>
      </c>
      <c r="D3" s="4" t="s">
        <v>23</v>
      </c>
    </row>
    <row r="4" spans="1:10" ht="30" x14ac:dyDescent="0.25">
      <c r="B4" s="6" t="s">
        <v>0</v>
      </c>
      <c r="C4" s="5">
        <f>200*12</f>
        <v>2400</v>
      </c>
      <c r="D4" s="7" t="s">
        <v>3</v>
      </c>
    </row>
    <row r="5" spans="1:10" x14ac:dyDescent="0.25">
      <c r="B5" s="6" t="s">
        <v>1</v>
      </c>
      <c r="C5" s="5">
        <v>40</v>
      </c>
      <c r="D5" s="7" t="s">
        <v>4</v>
      </c>
    </row>
    <row r="6" spans="1:10" x14ac:dyDescent="0.25">
      <c r="B6" s="6" t="s">
        <v>12</v>
      </c>
      <c r="C6" s="5">
        <v>0.17</v>
      </c>
      <c r="D6" s="7" t="s">
        <v>5</v>
      </c>
    </row>
    <row r="7" spans="1:10" ht="28.5" customHeight="1" thickBot="1" x14ac:dyDescent="0.3">
      <c r="B7" s="21" t="s">
        <v>2</v>
      </c>
      <c r="C7" s="9">
        <v>3</v>
      </c>
      <c r="D7" s="10"/>
    </row>
    <row r="8" spans="1:10" ht="15.75" thickBot="1" x14ac:dyDescent="0.3"/>
    <row r="9" spans="1:10" ht="15.75" customHeight="1" thickBot="1" x14ac:dyDescent="0.3">
      <c r="C9" s="27" t="s">
        <v>9</v>
      </c>
      <c r="D9" s="28"/>
    </row>
    <row r="10" spans="1:10" ht="57" customHeight="1" x14ac:dyDescent="0.25">
      <c r="A10" s="2" t="s">
        <v>7</v>
      </c>
      <c r="B10" s="3" t="s">
        <v>21</v>
      </c>
      <c r="C10" s="3" t="s">
        <v>26</v>
      </c>
      <c r="D10" s="3" t="s">
        <v>27</v>
      </c>
      <c r="E10" s="3" t="s">
        <v>10</v>
      </c>
      <c r="F10" s="3" t="s">
        <v>11</v>
      </c>
      <c r="G10" s="3" t="s">
        <v>18</v>
      </c>
      <c r="H10" s="3" t="s">
        <v>19</v>
      </c>
      <c r="I10" s="3" t="s">
        <v>20</v>
      </c>
      <c r="J10" s="4" t="s">
        <v>15</v>
      </c>
    </row>
    <row r="11" spans="1:10" x14ac:dyDescent="0.25">
      <c r="A11" s="11">
        <f>IF($C$7&gt;=1,1,"")</f>
        <v>1</v>
      </c>
      <c r="B11" s="5">
        <v>10</v>
      </c>
      <c r="C11" s="5">
        <v>1</v>
      </c>
      <c r="D11" s="5">
        <v>199</v>
      </c>
      <c r="E11" s="15">
        <f t="shared" ref="E11:E17" si="0">IF($C$7&gt;=A11,SQRT(2*$C$4*$C$5/($C$6*B11)),"")</f>
        <v>336.06722016672234</v>
      </c>
      <c r="F11" s="15">
        <f t="shared" ref="F11:F17" si="1">IF($C$7&gt;=A11,MIN(D11,MAX(C11,E11)),"")</f>
        <v>199</v>
      </c>
      <c r="G11" s="16">
        <f t="shared" ref="G11:G17" si="2">IF($C$7&gt;=A11,$C$4*B11,"")</f>
        <v>24000</v>
      </c>
      <c r="H11" s="16">
        <f>IF(C7&gt;=A11,$C$5*$C$4/F11,"")</f>
        <v>482.41206030150755</v>
      </c>
      <c r="I11" s="16">
        <f t="shared" ref="I11:I17" si="3">IF($C$7&gt;=A11,$C$6*B11*F11/2,"")</f>
        <v>169.15</v>
      </c>
      <c r="J11" s="17">
        <f t="shared" ref="J11:J17" si="4">IF($C$7&gt;=A11,SUM(G11:I11),"")</f>
        <v>24651.562060301509</v>
      </c>
    </row>
    <row r="12" spans="1:10" x14ac:dyDescent="0.25">
      <c r="A12" s="11">
        <f>IF($C$7&gt;=2,2,"")</f>
        <v>2</v>
      </c>
      <c r="B12" s="5">
        <v>9.5</v>
      </c>
      <c r="C12" s="5">
        <v>200</v>
      </c>
      <c r="D12" s="5">
        <v>499</v>
      </c>
      <c r="E12" s="15">
        <f t="shared" si="0"/>
        <v>344.79769273649242</v>
      </c>
      <c r="F12" s="15">
        <f t="shared" si="1"/>
        <v>344.79769273649242</v>
      </c>
      <c r="G12" s="16">
        <f t="shared" si="2"/>
        <v>22800</v>
      </c>
      <c r="H12" s="16">
        <f>IF(C7&gt;=A12,$C$5*$C$4/F12,"")</f>
        <v>278.42413688471771</v>
      </c>
      <c r="I12" s="16">
        <f t="shared" si="3"/>
        <v>278.42413688471765</v>
      </c>
      <c r="J12" s="17">
        <f t="shared" si="4"/>
        <v>23356.848273769436</v>
      </c>
    </row>
    <row r="13" spans="1:10" x14ac:dyDescent="0.25">
      <c r="A13" s="11">
        <f>IF($C$7&gt;=3,3,"")</f>
        <v>3</v>
      </c>
      <c r="B13" s="5">
        <v>9</v>
      </c>
      <c r="C13" s="5">
        <v>500</v>
      </c>
      <c r="D13" s="5">
        <v>9.9999999999999906E+51</v>
      </c>
      <c r="E13" s="15">
        <f t="shared" si="0"/>
        <v>354.24595421603811</v>
      </c>
      <c r="F13" s="15">
        <f t="shared" si="1"/>
        <v>500</v>
      </c>
      <c r="G13" s="16">
        <f t="shared" si="2"/>
        <v>21600</v>
      </c>
      <c r="H13" s="16">
        <f>IF(C7&gt;=A13,$C$5*$C$4/F13,"")</f>
        <v>192</v>
      </c>
      <c r="I13" s="16">
        <f t="shared" si="3"/>
        <v>382.5</v>
      </c>
      <c r="J13" s="17">
        <f t="shared" si="4"/>
        <v>22174.5</v>
      </c>
    </row>
    <row r="14" spans="1:10" x14ac:dyDescent="0.25">
      <c r="A14" s="11" t="str">
        <f>IF($C$7&gt;=4,4,"")</f>
        <v/>
      </c>
      <c r="B14" s="5"/>
      <c r="C14" s="5"/>
      <c r="D14" s="5"/>
      <c r="E14" s="15" t="str">
        <f t="shared" si="0"/>
        <v/>
      </c>
      <c r="F14" s="15" t="str">
        <f t="shared" si="1"/>
        <v/>
      </c>
      <c r="G14" s="16" t="str">
        <f t="shared" si="2"/>
        <v/>
      </c>
      <c r="H14" s="16" t="str">
        <f>IF(C7&gt;=A14,$C$5*$C$4/F14,"")</f>
        <v/>
      </c>
      <c r="I14" s="16" t="str">
        <f t="shared" si="3"/>
        <v/>
      </c>
      <c r="J14" s="17" t="str">
        <f t="shared" si="4"/>
        <v/>
      </c>
    </row>
    <row r="15" spans="1:10" x14ac:dyDescent="0.25">
      <c r="A15" s="11" t="str">
        <f>IF($C$7&gt;=5,5,"")</f>
        <v/>
      </c>
      <c r="B15" s="5"/>
      <c r="C15" s="5"/>
      <c r="D15" s="5"/>
      <c r="E15" s="15" t="str">
        <f t="shared" si="0"/>
        <v/>
      </c>
      <c r="F15" s="15" t="str">
        <f t="shared" si="1"/>
        <v/>
      </c>
      <c r="G15" s="16" t="str">
        <f t="shared" si="2"/>
        <v/>
      </c>
      <c r="H15" s="16" t="str">
        <f>IF(C7&gt;=A15,$C$5*$C$4/F15,"")</f>
        <v/>
      </c>
      <c r="I15" s="16" t="str">
        <f t="shared" si="3"/>
        <v/>
      </c>
      <c r="J15" s="17" t="str">
        <f t="shared" si="4"/>
        <v/>
      </c>
    </row>
    <row r="16" spans="1:10" x14ac:dyDescent="0.25">
      <c r="A16" s="11" t="str">
        <f>IF($C$7&gt;=6,6,"")</f>
        <v/>
      </c>
      <c r="B16" s="5"/>
      <c r="C16" s="5"/>
      <c r="D16" s="5"/>
      <c r="E16" s="15" t="str">
        <f t="shared" si="0"/>
        <v/>
      </c>
      <c r="F16" s="15" t="str">
        <f t="shared" si="1"/>
        <v/>
      </c>
      <c r="G16" s="16" t="str">
        <f t="shared" si="2"/>
        <v/>
      </c>
      <c r="H16" s="16" t="str">
        <f>IF(C7&gt;=A16,$C$5*$C$4/F16,"")</f>
        <v/>
      </c>
      <c r="I16" s="16" t="str">
        <f t="shared" si="3"/>
        <v/>
      </c>
      <c r="J16" s="17" t="str">
        <f t="shared" si="4"/>
        <v/>
      </c>
    </row>
    <row r="17" spans="1:10" ht="15.75" thickBot="1" x14ac:dyDescent="0.3">
      <c r="A17" s="13" t="str">
        <f>IF($C$7&gt;=7,7,"")</f>
        <v/>
      </c>
      <c r="B17" s="9"/>
      <c r="C17" s="9"/>
      <c r="D17" s="9"/>
      <c r="E17" s="18" t="str">
        <f t="shared" si="0"/>
        <v/>
      </c>
      <c r="F17" s="18" t="str">
        <f t="shared" si="1"/>
        <v/>
      </c>
      <c r="G17" s="19" t="str">
        <f t="shared" si="2"/>
        <v/>
      </c>
      <c r="H17" s="19" t="str">
        <f>IF(C7&gt;=A17,$C$5*$C$4/F17,"")</f>
        <v/>
      </c>
      <c r="I17" s="19" t="str">
        <f t="shared" si="3"/>
        <v/>
      </c>
      <c r="J17" s="20" t="str">
        <f t="shared" si="4"/>
        <v/>
      </c>
    </row>
    <row r="18" spans="1:10" ht="15.75" thickBot="1" x14ac:dyDescent="0.3"/>
    <row r="19" spans="1:10" ht="60" x14ac:dyDescent="0.25">
      <c r="B19" s="2" t="s">
        <v>16</v>
      </c>
      <c r="C19" s="4"/>
    </row>
    <row r="20" spans="1:10" x14ac:dyDescent="0.25">
      <c r="B20" s="21" t="s">
        <v>14</v>
      </c>
      <c r="C20" s="22">
        <f>IF(C21=J11,F11,IF(C21=J12,F12,IF(C21=J13,F13,IF(C21=J14,F14,IF(C21=J15,F15,IF(C21=J16,F16,IF(C21=J17,F17)))))))</f>
        <v>500</v>
      </c>
    </row>
    <row r="21" spans="1:10" x14ac:dyDescent="0.25">
      <c r="B21" s="21" t="s">
        <v>15</v>
      </c>
      <c r="C21" s="17">
        <f>MIN(J11:J17)</f>
        <v>22174.5</v>
      </c>
    </row>
    <row r="22" spans="1:10" ht="15.75" thickBot="1" x14ac:dyDescent="0.3">
      <c r="B22" s="23" t="s">
        <v>13</v>
      </c>
      <c r="C22" s="24">
        <f>C4/C20</f>
        <v>4.8</v>
      </c>
    </row>
  </sheetData>
  <mergeCells count="2">
    <mergeCell ref="A1:F1"/>
    <mergeCell ref="C9:D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98F32-3B2C-4EDB-BC1F-B56388891396}">
  <dimension ref="A1:K23"/>
  <sheetViews>
    <sheetView zoomScale="90" zoomScaleNormal="90" workbookViewId="0">
      <selection activeCell="B2" sqref="B1:K1048576"/>
    </sheetView>
  </sheetViews>
  <sheetFormatPr baseColWidth="10" defaultRowHeight="15" x14ac:dyDescent="0.25"/>
  <cols>
    <col min="1" max="1" width="5.28515625" customWidth="1"/>
    <col min="2" max="2" width="20.42578125" bestFit="1" customWidth="1"/>
    <col min="3" max="3" width="13.7109375" bestFit="1" customWidth="1"/>
    <col min="4" max="4" width="15.140625" bestFit="1" customWidth="1"/>
    <col min="5" max="6" width="12.85546875" bestFit="1" customWidth="1"/>
    <col min="7" max="7" width="7.42578125" bestFit="1" customWidth="1"/>
    <col min="8" max="8" width="12.140625" bestFit="1" customWidth="1"/>
    <col min="9" max="10" width="14.42578125" bestFit="1" customWidth="1"/>
    <col min="11" max="11" width="12.85546875" bestFit="1" customWidth="1"/>
  </cols>
  <sheetData>
    <row r="1" spans="1:11" ht="23.25" x14ac:dyDescent="0.35">
      <c r="A1" s="25" t="s">
        <v>25</v>
      </c>
      <c r="B1" s="26"/>
      <c r="C1" s="26"/>
      <c r="D1" s="26"/>
      <c r="E1" s="26"/>
      <c r="F1" s="26"/>
    </row>
    <row r="2" spans="1:11" ht="16.5" thickBot="1" x14ac:dyDescent="0.3">
      <c r="A2" s="1"/>
    </row>
    <row r="3" spans="1:11" x14ac:dyDescent="0.25">
      <c r="B3" s="2" t="s">
        <v>6</v>
      </c>
      <c r="C3" s="3" t="s">
        <v>6</v>
      </c>
      <c r="D3" s="4"/>
    </row>
    <row r="4" spans="1:11" ht="16.5" customHeight="1" x14ac:dyDescent="0.25">
      <c r="B4" s="6" t="s">
        <v>0</v>
      </c>
      <c r="C4" s="5">
        <v>3000</v>
      </c>
      <c r="D4" s="7" t="s">
        <v>3</v>
      </c>
    </row>
    <row r="5" spans="1:11" x14ac:dyDescent="0.25">
      <c r="B5" s="6" t="s">
        <v>1</v>
      </c>
      <c r="C5" s="5">
        <v>150</v>
      </c>
      <c r="D5" s="7" t="s">
        <v>4</v>
      </c>
    </row>
    <row r="6" spans="1:11" x14ac:dyDescent="0.25">
      <c r="B6" s="6" t="s">
        <v>12</v>
      </c>
      <c r="C6" s="5">
        <v>0.4</v>
      </c>
      <c r="D6" s="7" t="s">
        <v>5</v>
      </c>
    </row>
    <row r="7" spans="1:11" ht="30.75" customHeight="1" thickBot="1" x14ac:dyDescent="0.3">
      <c r="B7" s="8" t="s">
        <v>2</v>
      </c>
      <c r="C7" s="9">
        <v>3</v>
      </c>
      <c r="D7" s="10"/>
    </row>
    <row r="9" spans="1:11" ht="15.75" thickBot="1" x14ac:dyDescent="0.3"/>
    <row r="10" spans="1:11" ht="15.75" customHeight="1" thickBot="1" x14ac:dyDescent="0.3">
      <c r="C10" s="29" t="s">
        <v>9</v>
      </c>
      <c r="D10" s="30"/>
    </row>
    <row r="11" spans="1:11" ht="39.75" customHeight="1" x14ac:dyDescent="0.25">
      <c r="A11" s="2" t="s">
        <v>7</v>
      </c>
      <c r="B11" s="3" t="s">
        <v>8</v>
      </c>
      <c r="C11" s="3" t="s">
        <v>26</v>
      </c>
      <c r="D11" s="3" t="s">
        <v>27</v>
      </c>
      <c r="E11" s="3" t="s">
        <v>10</v>
      </c>
      <c r="F11" s="3" t="s">
        <v>11</v>
      </c>
      <c r="G11" s="3" t="s">
        <v>17</v>
      </c>
      <c r="H11" s="3" t="s">
        <v>18</v>
      </c>
      <c r="I11" s="3" t="s">
        <v>19</v>
      </c>
      <c r="J11" s="3" t="s">
        <v>20</v>
      </c>
      <c r="K11" s="4" t="s">
        <v>15</v>
      </c>
    </row>
    <row r="12" spans="1:11" x14ac:dyDescent="0.25">
      <c r="A12" s="11">
        <f>IF($C$7&gt;=1,1,"")</f>
        <v>1</v>
      </c>
      <c r="B12" s="5">
        <v>9.5</v>
      </c>
      <c r="C12" s="5">
        <v>1</v>
      </c>
      <c r="D12" s="5">
        <v>300</v>
      </c>
      <c r="E12" s="15">
        <f>IF($C$7&gt;=A12,SQRT(2*$C$4*($C$5+B12*C12-B12*C12)/($C$6*B12)),"")</f>
        <v>486.66426339228758</v>
      </c>
      <c r="F12" s="15">
        <f t="shared" ref="F12:F18" si="0">IF($C$7&gt;=A12,MIN(D12,MAX(C12,E12)),"")</f>
        <v>300</v>
      </c>
      <c r="G12" s="16">
        <f>IF($C$7&gt;=A12,(B12*F12/F12),"")</f>
        <v>9.5</v>
      </c>
      <c r="H12" s="16">
        <f>IF($C$7&gt;=A12,$C$4*G12,"")</f>
        <v>28500</v>
      </c>
      <c r="I12" s="16">
        <f>IF($C$7&gt;=A12,$C$5*$C$4/F12,"")</f>
        <v>1500</v>
      </c>
      <c r="J12" s="16">
        <f>IF($C$7&gt;=A12,$C$6*G12*F12/2,"")</f>
        <v>570</v>
      </c>
      <c r="K12" s="12">
        <f t="shared" ref="K12:K18" si="1">IF($C$7&gt;=A12,SUM(H12:J12),"")</f>
        <v>30570</v>
      </c>
    </row>
    <row r="13" spans="1:11" x14ac:dyDescent="0.25">
      <c r="A13" s="11">
        <f>IF($C$7&gt;=2,2,"")</f>
        <v>2</v>
      </c>
      <c r="B13" s="5">
        <v>9.1999999999999993</v>
      </c>
      <c r="C13" s="5">
        <v>301</v>
      </c>
      <c r="D13" s="5">
        <v>500</v>
      </c>
      <c r="E13" s="15">
        <f>IF($C$7&gt;=A13,SQRT(2*$C$4*($C$5+B12*D12+B13*(C13-D12)-B13*C13)/($C$6*B13)),"")</f>
        <v>625.54324217122428</v>
      </c>
      <c r="F13" s="15">
        <f t="shared" si="0"/>
        <v>500</v>
      </c>
      <c r="G13" s="16">
        <f>IF($C$7&gt;=A13,(B12*D12+B13*(F13-D12))/F13,"")</f>
        <v>9.3800000000000008</v>
      </c>
      <c r="H13" s="16">
        <f>IF($C$7&gt;=A13,$C$4*G13,"")</f>
        <v>28140.000000000004</v>
      </c>
      <c r="I13" s="16">
        <f>IF($C$7&gt;=A13,$C$5*$C$4/F13,"")</f>
        <v>900</v>
      </c>
      <c r="J13" s="16">
        <f>IF($C$7&gt;=A13,$C$6*G13*F13/2,"")</f>
        <v>938.00000000000011</v>
      </c>
      <c r="K13" s="12">
        <f t="shared" si="1"/>
        <v>29978.000000000004</v>
      </c>
    </row>
    <row r="14" spans="1:11" x14ac:dyDescent="0.25">
      <c r="A14" s="11">
        <f>IF($C$7&gt;=3,3,"")</f>
        <v>3</v>
      </c>
      <c r="B14" s="5">
        <v>9</v>
      </c>
      <c r="C14" s="5">
        <v>501</v>
      </c>
      <c r="D14" s="5">
        <v>9.9999999999999906E+51</v>
      </c>
      <c r="E14" s="15">
        <f>IF($C$7&gt;=A14,SQRT(2*$C$4*($C$5+B12*D12+B13*(D13-D12)+B14*(C14-D13)-B14*C14)/($C$6*B14)),"")</f>
        <v>752.77265270908094</v>
      </c>
      <c r="F14" s="15">
        <f t="shared" si="0"/>
        <v>752.77265270908094</v>
      </c>
      <c r="G14" s="16">
        <f>IF($C$7&gt;=A14,(B12*D12+B13*(D13-D12)+B14*(F14-D13))/F14,"")</f>
        <v>9.2524002423789273</v>
      </c>
      <c r="H14" s="16">
        <f>IF($C$7&gt;=A14,$C$4*G14,"")</f>
        <v>27757.20072713678</v>
      </c>
      <c r="I14" s="16">
        <f>IF($C$7&gt;=A14,$C$5*$C$4/F14,"")</f>
        <v>597.79004773956433</v>
      </c>
      <c r="J14" s="16">
        <f t="shared" ref="J14:J16" si="2">IF($C$7&gt;=A14,$C$6*G14*F14/2,"")</f>
        <v>1392.9907748763458</v>
      </c>
      <c r="K14" s="12">
        <f t="shared" si="1"/>
        <v>29747.981549752691</v>
      </c>
    </row>
    <row r="15" spans="1:11" x14ac:dyDescent="0.25">
      <c r="A15" s="11" t="str">
        <f>IF($C$7&gt;=4,4,"")</f>
        <v/>
      </c>
      <c r="B15" s="5"/>
      <c r="C15" s="5"/>
      <c r="D15" s="5"/>
      <c r="E15" s="15" t="str">
        <f>IF($C$7&gt;=A15,SQRT(2*$C$4*($C$5+B12*D12+B13*(D13-D12)+B14*(D14-D13)+B15*(C15-D14)-B15*C15)/($C$6*B15)),"")</f>
        <v/>
      </c>
      <c r="F15" s="15" t="str">
        <f t="shared" si="0"/>
        <v/>
      </c>
      <c r="G15" s="16" t="str">
        <f>IF($C$7&gt;=A15,(B12*D12+B13*(D13-D12)+B14*(D14-D13)+B15*(F15-D14))/F15,"")</f>
        <v/>
      </c>
      <c r="H15" s="16" t="str">
        <f t="shared" ref="H15:H16" si="3">IF($C$7&gt;=A15,$C$4*G15,"")</f>
        <v/>
      </c>
      <c r="I15" s="16" t="str">
        <f>IF($C$7&gt;=A15,$C$5*$C$4/C7,"")</f>
        <v/>
      </c>
      <c r="J15" s="16" t="str">
        <f t="shared" si="2"/>
        <v/>
      </c>
      <c r="K15" s="12" t="str">
        <f t="shared" si="1"/>
        <v/>
      </c>
    </row>
    <row r="16" spans="1:11" x14ac:dyDescent="0.25">
      <c r="A16" s="11" t="str">
        <f>IF($C$7&gt;=5,5,"")</f>
        <v/>
      </c>
      <c r="B16" s="5"/>
      <c r="C16" s="5"/>
      <c r="D16" s="5"/>
      <c r="E16" s="15" t="str">
        <f>IF($C$7&gt;=A16,SQRT(2*$C$4*($C$5+B12*D12+B13*(D13-D12)+B14*(D14-D13)+B15*(D15-D14)+B16*(C16-D15)-B16*C16)/($C$6*B16)),"")</f>
        <v/>
      </c>
      <c r="F16" s="15" t="str">
        <f t="shared" si="0"/>
        <v/>
      </c>
      <c r="G16" s="16" t="str">
        <f>IF($C$7&gt;=A16,(B12*D12+B13*(D13-D12)+B14*(D14-D13)+B15*(D15-D14)+B16*(F16-D15))/F16,"")</f>
        <v/>
      </c>
      <c r="H16" s="16" t="str">
        <f t="shared" si="3"/>
        <v/>
      </c>
      <c r="I16" s="16" t="str">
        <f>IF($C$7&gt;=A16,$C$5*$C$4/F16,"")</f>
        <v/>
      </c>
      <c r="J16" s="16" t="str">
        <f t="shared" si="2"/>
        <v/>
      </c>
      <c r="K16" s="12" t="str">
        <f t="shared" si="1"/>
        <v/>
      </c>
    </row>
    <row r="17" spans="1:11" x14ac:dyDescent="0.25">
      <c r="A17" s="11" t="str">
        <f>IF($C$7&gt;=6,6,"")</f>
        <v/>
      </c>
      <c r="B17" s="5"/>
      <c r="C17" s="5"/>
      <c r="D17" s="5"/>
      <c r="E17" s="15" t="str">
        <f>IF($C$7&gt;=A17,SQRT(2*$C$4*($C$5+B12*D12+B13*(D13-D12)+B14*(D14-D13)+B15*(D15-D14)+B16*(D16-D15)+B17*(C17-D16)-B17*C17)/($C$6*B17)),"")</f>
        <v/>
      </c>
      <c r="F17" s="15" t="str">
        <f t="shared" si="0"/>
        <v/>
      </c>
      <c r="G17" s="16" t="str">
        <f>IF($C$7&gt;=A17,(B12*D12+B13*(D13-D12)+B14*(D14-D13)+B15*(D15-D14)+B16*(D16-D15)+B17*(F17-D16))/F17,"")</f>
        <v/>
      </c>
      <c r="H17" s="16" t="str">
        <f>IF($C$7&gt;=A17,$C$4*G17,"")</f>
        <v/>
      </c>
      <c r="I17" s="16" t="str">
        <f>IF($C$7&gt;=A17,$C$5*$C$4/F17,"")</f>
        <v/>
      </c>
      <c r="J17" s="16" t="str">
        <f>IF($C$7&gt;=A17,$C$6*G17*F17/2,"")</f>
        <v/>
      </c>
      <c r="K17" s="12" t="str">
        <f t="shared" si="1"/>
        <v/>
      </c>
    </row>
    <row r="18" spans="1:11" ht="15.75" thickBot="1" x14ac:dyDescent="0.3">
      <c r="A18" s="13" t="str">
        <f>IF($C$7&gt;=7,7,"")</f>
        <v/>
      </c>
      <c r="B18" s="9"/>
      <c r="C18" s="9"/>
      <c r="D18" s="9"/>
      <c r="E18" s="18" t="str">
        <f>IF($C$7&gt;=A18,SQRT(2*$C$4*($C$5+B12*D12+B13*(D13-D12)+B14*(D14-D13)+B15*(D15-D14)+B16*(D16-D15)+B17*(D17-D16)+B18*(C18-D17)-B18*C18)/($C$6*B18)),"")</f>
        <v/>
      </c>
      <c r="F18" s="18" t="str">
        <f t="shared" si="0"/>
        <v/>
      </c>
      <c r="G18" s="19" t="str">
        <f>IF($C$7&gt;=A18,(B12*D12+B13*(D13-D12)+B14*(D14-D13)+B15*(D15-D14)+B16*(D16-D15)+B17*(D17-D16)+B18*(F18-D17))/F18,"")</f>
        <v/>
      </c>
      <c r="H18" s="19" t="str">
        <f>IF($C$7&gt;=A18,$C$4*G18,"")</f>
        <v/>
      </c>
      <c r="I18" s="19" t="str">
        <f>IF($C$7&gt;=A18,$C$5*$C$4/F18,"")</f>
        <v/>
      </c>
      <c r="J18" s="19" t="str">
        <f>IF($C$7&gt;=A18,$C$6*G18*F18/2,"")</f>
        <v/>
      </c>
      <c r="K18" s="14" t="str">
        <f t="shared" si="1"/>
        <v/>
      </c>
    </row>
    <row r="19" spans="1:11" ht="15.75" thickBot="1" x14ac:dyDescent="0.3"/>
    <row r="20" spans="1:11" x14ac:dyDescent="0.25">
      <c r="B20" s="2" t="s">
        <v>16</v>
      </c>
      <c r="C20" s="4"/>
    </row>
    <row r="21" spans="1:11" ht="30.75" customHeight="1" x14ac:dyDescent="0.25">
      <c r="B21" s="21" t="s">
        <v>14</v>
      </c>
      <c r="C21" s="22">
        <f>IF(C22=K12,F12,IF(C22=K13,F13,IF(C22=K14,F14,IF(C22=K15,F15,IF(C22=K16,F16,IF(C22=K17,F17,IF(C22=K18,F18)))))))</f>
        <v>752.77265270908094</v>
      </c>
    </row>
    <row r="22" spans="1:11" ht="14.25" customHeight="1" x14ac:dyDescent="0.25">
      <c r="B22" s="21" t="s">
        <v>15</v>
      </c>
      <c r="C22" s="17">
        <f>MIN(K12:K18)</f>
        <v>29747.981549752691</v>
      </c>
    </row>
    <row r="23" spans="1:11" ht="30.75" customHeight="1" thickBot="1" x14ac:dyDescent="0.3">
      <c r="B23" s="23" t="s">
        <v>13</v>
      </c>
      <c r="C23" s="24">
        <f>C4/C21</f>
        <v>3.985266984930429</v>
      </c>
    </row>
  </sheetData>
  <mergeCells count="2">
    <mergeCell ref="C10:D10"/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Instrucciones</vt:lpstr>
      <vt:lpstr>DTU</vt:lpstr>
      <vt:lpstr>DI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Tellez</dc:creator>
  <cp:lastModifiedBy>Susana Tellez</cp:lastModifiedBy>
  <dcterms:created xsi:type="dcterms:W3CDTF">2023-10-10T01:33:06Z</dcterms:created>
  <dcterms:modified xsi:type="dcterms:W3CDTF">2025-03-13T19:13:32Z</dcterms:modified>
</cp:coreProperties>
</file>